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socrates_perez_ine_mx/Documents/Sub_4/1.01 Quejas o procedimientos/1.12 Procedimientos 2025/39. INE-Q-COF-UTF-502-2025-MICH/06. Extras/"/>
    </mc:Choice>
  </mc:AlternateContent>
  <xr:revisionPtr revIDLastSave="225" documentId="8_{BD732732-07AF-6044-BEB3-B6955B52F3CC}" xr6:coauthVersionLast="47" xr6:coauthVersionMax="47" xr10:uidLastSave="{A4909F15-A574-E24E-8A58-929AB7D06752}"/>
  <bookViews>
    <workbookView xWindow="-4560" yWindow="-21100" windowWidth="38400" windowHeight="21100" xr2:uid="{B865BDAC-B8F2-1945-95C0-86684B27DB71}"/>
  </bookViews>
  <sheets>
    <sheet name="Hoja1" sheetId="1" r:id="rId1"/>
  </sheets>
  <definedNames>
    <definedName name="_xlnm._FilterDatabase" localSheetId="0" hidden="1">Hoja1!$D$3:$F$64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4" i="1" l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0" i="1"/>
  <c r="L11" i="1"/>
  <c r="L9" i="1"/>
  <c r="L8" i="1"/>
  <c r="L7" i="1"/>
  <c r="L6" i="1"/>
  <c r="L5" i="1"/>
  <c r="L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4" i="1"/>
  <c r="I5" i="1"/>
  <c r="I53" i="1"/>
  <c r="I54" i="1"/>
  <c r="I4" i="1"/>
  <c r="H5" i="1"/>
  <c r="H6" i="1"/>
  <c r="I6" i="1" s="1"/>
  <c r="H7" i="1"/>
  <c r="I7" i="1" s="1"/>
  <c r="H8" i="1"/>
  <c r="I8" i="1" s="1"/>
  <c r="H9" i="1"/>
  <c r="I9" i="1" s="1"/>
  <c r="H10" i="1"/>
  <c r="I10" i="1" s="1"/>
  <c r="H11" i="1"/>
  <c r="I11" i="1" s="1"/>
  <c r="H12" i="1"/>
  <c r="I12" i="1" s="1"/>
  <c r="H13" i="1"/>
  <c r="I13" i="1" s="1"/>
  <c r="H14" i="1"/>
  <c r="I14" i="1" s="1"/>
  <c r="H15" i="1"/>
  <c r="I15" i="1" s="1"/>
  <c r="H16" i="1"/>
  <c r="I16" i="1" s="1"/>
  <c r="H17" i="1"/>
  <c r="I17" i="1" s="1"/>
  <c r="H18" i="1"/>
  <c r="I18" i="1" s="1"/>
  <c r="H19" i="1"/>
  <c r="I19" i="1" s="1"/>
  <c r="H20" i="1"/>
  <c r="I20" i="1" s="1"/>
  <c r="H21" i="1"/>
  <c r="I21" i="1" s="1"/>
  <c r="H22" i="1"/>
  <c r="I22" i="1" s="1"/>
  <c r="H23" i="1"/>
  <c r="I23" i="1" s="1"/>
  <c r="H24" i="1"/>
  <c r="I24" i="1" s="1"/>
  <c r="H25" i="1"/>
  <c r="I25" i="1" s="1"/>
  <c r="H26" i="1"/>
  <c r="I26" i="1" s="1"/>
  <c r="H27" i="1"/>
  <c r="I27" i="1" s="1"/>
  <c r="H28" i="1"/>
  <c r="I28" i="1" s="1"/>
  <c r="H29" i="1"/>
  <c r="I29" i="1" s="1"/>
  <c r="H30" i="1"/>
  <c r="I30" i="1" s="1"/>
  <c r="K30" i="1" s="1"/>
  <c r="H31" i="1"/>
  <c r="I31" i="1" s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H54" i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61" i="1"/>
  <c r="I61" i="1" s="1"/>
  <c r="H62" i="1"/>
  <c r="I62" i="1" s="1"/>
  <c r="H63" i="1"/>
  <c r="I63" i="1" s="1"/>
  <c r="H64" i="1"/>
  <c r="I64" i="1" s="1"/>
  <c r="H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4" i="1"/>
</calcChain>
</file>

<file path=xl/sharedStrings.xml><?xml version="1.0" encoding="utf-8"?>
<sst xmlns="http://schemas.openxmlformats.org/spreadsheetml/2006/main" count="134" uniqueCount="94">
  <si>
    <t>Adán Piña Avilés 
Otrora candidato a Persona Juzgadora en Materia Penal Acusatorio Oral</t>
  </si>
  <si>
    <t>Aleida Soberanis Núñez
Otrora candidata a Persona Juzgadora en Materia Penal Acusatorio Oral</t>
  </si>
  <si>
    <t>Alejandra Elenni Velázquez Espino
Otrora candidata a la Magistratura en Materia Penal</t>
  </si>
  <si>
    <t>Andrés Garcia Serrano
Otrora candidato a Persona Juzgadora en Materia Penal Acusatorio Oral</t>
  </si>
  <si>
    <t>Araceli Palomares Miranda
Otrora candidata a la Magistratura en Materia Civil</t>
  </si>
  <si>
    <t>Arnulfo Torres Garibay
Otrora candidato a Persona Juzgadora en Ejecución de Sanciones Penales</t>
  </si>
  <si>
    <t>Blanca Luisa Medina Oroz
Otrora candidata a Persona Juzgadora en Materia Penal Acusatorio Oral</t>
  </si>
  <si>
    <t>Carlos Abraham Ayala Rodríguez
Otrora candidato a la Magistratura en Materia Penal</t>
  </si>
  <si>
    <t>Carolina Contreras Coria
Otrora candidata a Persona Juzgadora en Materia Civil</t>
  </si>
  <si>
    <t>Cinthia Yanely Martínez Urbina
Otrora candidata a Persona Juzgadora en Materia Penal Acusatorio Oral l</t>
  </si>
  <si>
    <t>Clemente Sagrero Banderas
Otrora candidato a Persona Juzgadora en Materia Penal Acusatorio Oral</t>
  </si>
  <si>
    <t>Diego Cruz Espinoza
Otrora candidato a Persona Juzgadora en Materia Civil</t>
  </si>
  <si>
    <t>Emma Casandra León Rivera
Otrora candidata a Persona Juzgadora en Materia Laboral</t>
  </si>
  <si>
    <t>Enock Iván Barragán Estrada
Otrora candidato a la Magistratura en Materia Civil</t>
  </si>
  <si>
    <t>Ezequiel Cruz Mora
Otrora candidato a Persona Juzgadora en Materia Penal Acusatorio Oral</t>
  </si>
  <si>
    <t>Francisco Javier de Jesús Loaiza Murillo
Otrora candidato a Persona Juzgadora en Materia Penal Acusatorio Oral</t>
  </si>
  <si>
    <t>Gabriela Manzo Ortiz
Otrora candidata a la Magistratura en Materia Civil</t>
  </si>
  <si>
    <t>Gerardo Nava Mejia
Otrora candidato a Persona Juzgadora en Materia Penal Acusatorio Oral</t>
  </si>
  <si>
    <t>Gilda Lucia Rodríguez Márquez
Otrora candidata a Persona Juzgadora en Materia Penal</t>
  </si>
  <si>
    <t>Gracia del Socorro Arias Ramos
Otrora candidata a Persona Juzgadora en Materia Penal Acusatorio Oral</t>
  </si>
  <si>
    <t>Hugo Alberto Gama Coria
Otrora candidato a la Magistratura en Materia Civil</t>
  </si>
  <si>
    <t>Irma Ríos Villegas
Otrora candidata a Persona Juzgadora en Materia Oral Familiar</t>
  </si>
  <si>
    <t>Ismael Pinzón Núñez
Otrora candidato a Persona Juzgadora Mixta</t>
  </si>
  <si>
    <t>Jesús Alejandro Sosa Maya
Otrora candidato a Persona Juzgadora en Materia Penal Acusatorio Oral</t>
  </si>
  <si>
    <t>Jorge Derio Camacho Zapiain
Otrora candidato a la Magistratura en Materia Penal</t>
  </si>
  <si>
    <t>Josceline Infante Esquivel
Otrora candidata a la Magistratura en Materia Civil</t>
  </si>
  <si>
    <t>José Alfredo Flores Vargas
Otrora candidato a la Magistratura del Tribunal de Disciplina Judicial</t>
  </si>
  <si>
    <t>José Enrique Sánchez Alemán
Otrora candidato a Persona Juzgadora Mixta</t>
  </si>
  <si>
    <t>José López Esteban
Otrora candidato a la Magistratura en Materia Civil</t>
  </si>
  <si>
    <t>José María Cazares Rosales
Otrora candidato a la Magistratura en Materia Civil</t>
  </si>
  <si>
    <t>Juan Pablo Acosta Rodríguez
Otrora candidato a Persona Juzgadora en Materia Penal Acusatorio Oral</t>
  </si>
  <si>
    <t>Krishna Gandy Medina Uribe
Otrora candidata a Persona Juzgadora en Materia Civil</t>
  </si>
  <si>
    <t>Laura Elena Alanís García
Otrora candidata a la Magistratura en Materia Penal</t>
  </si>
  <si>
    <t>Leonardo Ángel López González
Otrora candidato a Persona Juzgadora en Ejecución de Sanciones Penales</t>
  </si>
  <si>
    <t>Liliana Anell Naranjo Hernandez
Otrora candidata a Persona Juzgadora en Materia Penal Acusatorio Oral</t>
  </si>
  <si>
    <t>Lucía Baltazar Rendón
Otrora candidata a la Magistratura del Tribunal de Disciplina Judicial</t>
  </si>
  <si>
    <t>Luis Felipe Quintero Valois
Otrora candidato a la Magistratura del Tribunal de Disciplina Judicial</t>
  </si>
  <si>
    <t>Magdalena Monserrat Pérez Marín
Otrora candidata a la Magistratura del Tribunal de Disciplina Judicial</t>
  </si>
  <si>
    <t>Manuel Padilla Téllez
Otrora candidato a la Magistratura en Materia Penal</t>
  </si>
  <si>
    <t>Marcela Guadalupe Esquivel Piedra 
Otrora candidata a Persona Juzgadora en Materia Penal Acusatorio Oral</t>
  </si>
  <si>
    <t>Marco Antonio Muñiz Tinoco
Otrora candidato a Persona Juzgadora en Ejecución de Sanciones Penales</t>
  </si>
  <si>
    <t>María del Carmen Ramírez Chora
Otrora candidata a la Magistratura en Materia Civil</t>
  </si>
  <si>
    <t>María Elena Lozano Álvarez
Otrora candidata a Persona Juzgadora en Materia Civil</t>
  </si>
  <si>
    <t>María Guadalupe Zavala Jacobo
Otrora candidata a Persona Juzgadora en Materia Penal Acusatorio Oral</t>
  </si>
  <si>
    <t>María Isabel Cruz Corral
Otrora candidata a Persona Juzgadora en Ejecución de Sanciones Penales</t>
  </si>
  <si>
    <t>Mariana Izquierdo Guzmán
Otrora candidata a Persona Juzgadora en Materia Penal Acusatorio Oral</t>
  </si>
  <si>
    <t>Mario Sotelo Rodríguez
Otrora candidato a la Magistratura en Materia Penal</t>
  </si>
  <si>
    <t>Martha Magaly Vega Alfaro
Otrora candidata a la Magistratura en Materia Penal</t>
  </si>
  <si>
    <t>Marvin Adair Carreto Vargas
Otrora candidato a Persona Juzgadora en Materia Familiar</t>
  </si>
  <si>
    <t>Miguel Orozco Eguiza
Otrora candidato a Persona Juzgadora en Materia Oral Familiar</t>
  </si>
  <si>
    <t>Óscar Reyes Valdés
Otrora candidato a Persona Juzgadora en Materia Civil</t>
  </si>
  <si>
    <t>Paula Edith Espinosa Barrientos
Otrora candidata a la Magistratura del Tribunal de Disciplina Judicial</t>
  </si>
  <si>
    <t>Ramón Alcázar Basaldua
Otrora candidato a Persona Juzgadora en Materia Penal</t>
  </si>
  <si>
    <t>Sandra Luz Hernández Guzmán
Otrora candidata a la Magistratura en Materia Penal</t>
  </si>
  <si>
    <t>Selene Vázquez Garibay
Otrora candidata a Persona Juzgadora en Materia Penal Acusatorio Oral</t>
  </si>
  <si>
    <t>Senia Mora Contreras
Otrora candidata a Persona Juzgadora en Materia Penal Acusatorio Oral</t>
  </si>
  <si>
    <t>Susana Nidia Guillen Chávez
Otrora candidata a Persona Juzgadora en Ejecución de Sanciones Penales</t>
  </si>
  <si>
    <t>Ulises Chávez Puga
Otrora candidato a Persona Juzgadora en Materia Penal Acusatorio Oral</t>
  </si>
  <si>
    <t>Víctor Lenin Sánchez Rodríguez
Otrora candidato a la Magistratura en Materia Civil</t>
  </si>
  <si>
    <t>Wilfrido Tapia López
Otrora candidato a Persona Juzgadora en Materia Penal Acusatorio Oral</t>
  </si>
  <si>
    <t>Yunnuen Zamai Estrada Rentería
Otrora candidata a Persona Juzgadora en Materia Penal</t>
  </si>
  <si>
    <t>Juezas y Jueces en Materia Penal Acusatorio Oral </t>
  </si>
  <si>
    <t>Persona</t>
  </si>
  <si>
    <t>Candidatura</t>
  </si>
  <si>
    <t>Magistradas y Magistrados en Materia Penal</t>
  </si>
  <si>
    <t>Juezas y Jueces en Materia Penal Acusatorio Oral</t>
  </si>
  <si>
    <t>Región Judicial 07 Magistradas y Magistrados en Materia Civil</t>
  </si>
  <si>
    <t>Juezas y Jueces de Ejecución de Sanciones Penales</t>
  </si>
  <si>
    <t>Distrito Judicial 23 Jueces en Materia Civil</t>
  </si>
  <si>
    <t>Distrito Judicial 23 Juezas y Jueces en Materia Laboral Segundo Laboral Región Morelia</t>
  </si>
  <si>
    <t>Región Judicial 03 Magistradas y Magistrados en Materia Civil Segunda Sala Colegiada</t>
  </si>
  <si>
    <t>Región Judicial 03 Magistradas y Magistrados en Materia Civil Primera Sala Colegiada</t>
  </si>
  <si>
    <t>Juezas y Jueces Penales</t>
  </si>
  <si>
    <t>Distrito Judicial 13 Juezas y Jueces Juezas y Jueces en Materia Oral Familiar Cuarto Oral Familiar</t>
  </si>
  <si>
    <t>Distrito Judicial 23 Juezas y Jueces Jueces Mixtos</t>
  </si>
  <si>
    <t>Magistradas y Magistrados del Tribunal de Disciplina Judicial</t>
  </si>
  <si>
    <t>Distrito Judicial 13 Juezas y Jueces Juezas y Jueces Menor Mixto</t>
  </si>
  <si>
    <t>Distrito Judicial 13 Juezas y Jueces Juezas y Jueces en Materia Civil Segundo Civil</t>
  </si>
  <si>
    <t>Distrito Judicial 23 Juezas y Jueces en Materia Familiar Primero Familiar</t>
  </si>
  <si>
    <t>Distrito Judicial 13 Juezas y Jueces Juezas y Jueces en Materia Oral Familiar Tercero Oral Familiar</t>
  </si>
  <si>
    <t>Distrito Judicial 13 Juezas y Jueces Juezas y Jueces en Materia Civil Primero Civil</t>
  </si>
  <si>
    <t>Distrito Judicial 13 Juezas y JuecesJuezas Menor Civil Segundo Menor Civil</t>
  </si>
  <si>
    <t>Tope de gastos</t>
  </si>
  <si>
    <t xml:space="preserve">Distrito Judicial 13 Juezas y Jueces Juezas y Jueces Menor Mixto </t>
  </si>
  <si>
    <t>Distrito Judicial 13 Juezas y Jueces en Materia Civil Octavo Civil</t>
  </si>
  <si>
    <t>Porcentaje de sanción</t>
  </si>
  <si>
    <t>Salario mínimo mensual 2025</t>
  </si>
  <si>
    <t>Monto de capacidad económica anualizada (ingresos)</t>
  </si>
  <si>
    <t>Sanción aplicable conforme a capacidad económica</t>
  </si>
  <si>
    <t>Sanción conforme a criterio 10%</t>
  </si>
  <si>
    <t>UMAS 2025</t>
  </si>
  <si>
    <t>Monto de capacidad mensual
H=(G/12)</t>
  </si>
  <si>
    <t>Capacidad económica 
I=(H-O)*30%</t>
  </si>
  <si>
    <t>UMAS
K=(I/P)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</si>
</sst>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_-[$$-80A]* #,##0.00_-;\-[$$-80A]* #,##0.00_-;_-[$$-80A]* &quot;-&quot;??_-;_-@_-"/>
    <numFmt numFmtId="167" formatCode="0.0"/>
  </numFmts>
  <fonts count="5" x14ac:knownFonts="1">
    <font>
      <sz val="12"/>
      <color theme="1"/>
      <name val="Aptos Narrow"/>
      <family val="2"/>
      <scheme val="minor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9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justify" wrapText="1"/>
    </xf>
    <xf numFmtId="0" fontId="2" fillId="0" borderId="1" xfId="0" applyFont="1" applyBorder="1"/>
    <xf numFmtId="44" fontId="2" fillId="0" borderId="1" xfId="0" applyNumberFormat="1" applyFont="1" applyBorder="1"/>
    <xf numFmtId="164" fontId="3" fillId="0" borderId="1" xfId="0" applyNumberFormat="1" applyFont="1" applyBorder="1" applyAlignment="1" applyProtection="1">
      <alignment horizontal="right"/>
      <protection locked="0"/>
    </xf>
    <xf numFmtId="164" fontId="2" fillId="0" borderId="1" xfId="0" applyNumberFormat="1" applyFont="1" applyBorder="1"/>
    <xf numFmtId="167" fontId="2" fillId="0" borderId="1" xfId="0" applyNumberFormat="1" applyFont="1" applyBorder="1"/>
    <xf numFmtId="9" fontId="2" fillId="0" borderId="1" xfId="0" applyNumberFormat="1" applyFont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9A434-6CC8-614E-99F0-BBAAB73D09C0}">
  <dimension ref="D1:P64"/>
  <sheetViews>
    <sheetView tabSelected="1" topLeftCell="D1" zoomScale="130" zoomScaleNormal="130" workbookViewId="0">
      <selection activeCell="L3" sqref="L3"/>
    </sheetView>
  </sheetViews>
  <sheetFormatPr baseColWidth="10" defaultRowHeight="16" x14ac:dyDescent="0.2"/>
  <cols>
    <col min="1" max="3" width="10.83203125" style="1"/>
    <col min="4" max="4" width="34.6640625" style="1" customWidth="1"/>
    <col min="5" max="5" width="72.6640625" style="1" hidden="1" customWidth="1"/>
    <col min="6" max="6" width="25" style="1" customWidth="1"/>
    <col min="7" max="7" width="35.6640625" style="3" customWidth="1"/>
    <col min="8" max="8" width="11.1640625" style="1" bestFit="1" customWidth="1"/>
    <col min="9" max="9" width="11.6640625" bestFit="1" customWidth="1"/>
    <col min="10" max="10" width="19" style="1" customWidth="1"/>
    <col min="11" max="11" width="16.33203125" style="1" customWidth="1"/>
    <col min="12" max="12" width="25.33203125" style="1" customWidth="1"/>
    <col min="13" max="13" width="10.83203125" style="1"/>
    <col min="14" max="14" width="16.1640625" style="1" bestFit="1" customWidth="1"/>
    <col min="15" max="15" width="21.5" style="1" bestFit="1" customWidth="1"/>
    <col min="16" max="16384" width="10.83203125" style="1"/>
  </cols>
  <sheetData>
    <row r="1" spans="4:16" x14ac:dyDescent="0.2">
      <c r="G1" s="1"/>
    </row>
    <row r="2" spans="4:16" ht="17" thickBot="1" x14ac:dyDescent="0.25">
      <c r="G2" s="1"/>
    </row>
    <row r="3" spans="4:16" s="4" customFormat="1" ht="66" thickBot="1" x14ac:dyDescent="0.25">
      <c r="D3" s="13" t="s">
        <v>62</v>
      </c>
      <c r="E3" s="14" t="s">
        <v>63</v>
      </c>
      <c r="F3" s="13" t="s">
        <v>82</v>
      </c>
      <c r="G3" s="13" t="s">
        <v>87</v>
      </c>
      <c r="H3" s="13" t="s">
        <v>91</v>
      </c>
      <c r="I3" s="13" t="s">
        <v>92</v>
      </c>
      <c r="J3" s="13" t="s">
        <v>89</v>
      </c>
      <c r="K3" s="13" t="s">
        <v>93</v>
      </c>
      <c r="L3" s="13" t="s">
        <v>88</v>
      </c>
      <c r="N3" s="13" t="s">
        <v>85</v>
      </c>
      <c r="O3" s="13" t="s">
        <v>86</v>
      </c>
      <c r="P3" s="13" t="s">
        <v>90</v>
      </c>
    </row>
    <row r="4" spans="4:16" ht="40" thickBot="1" x14ac:dyDescent="0.2">
      <c r="D4" s="6" t="s">
        <v>0</v>
      </c>
      <c r="E4" s="7" t="s">
        <v>61</v>
      </c>
      <c r="F4" s="8">
        <v>692837.49</v>
      </c>
      <c r="G4" s="5">
        <v>451838</v>
      </c>
      <c r="H4" s="9">
        <f>G4/12</f>
        <v>37653.166666666664</v>
      </c>
      <c r="I4" s="10">
        <f>(H4-$O$4)*30%</f>
        <v>8786.7499999999982</v>
      </c>
      <c r="J4" s="8">
        <f>($F4*10%)</f>
        <v>69283.748999999996</v>
      </c>
      <c r="K4" s="11">
        <f>(I4/$P$4)</f>
        <v>77.662630369453751</v>
      </c>
      <c r="L4" s="8">
        <f>(77*$P$4)</f>
        <v>8711.7800000000007</v>
      </c>
      <c r="N4" s="12">
        <v>0.1</v>
      </c>
      <c r="O4" s="8">
        <v>8364</v>
      </c>
      <c r="P4" s="7">
        <v>113.14</v>
      </c>
    </row>
    <row r="5" spans="4:16" ht="40" thickBot="1" x14ac:dyDescent="0.2">
      <c r="D5" s="6" t="s">
        <v>1</v>
      </c>
      <c r="E5" s="7" t="s">
        <v>61</v>
      </c>
      <c r="F5" s="8">
        <v>692837.49</v>
      </c>
      <c r="G5" s="5">
        <v>634423.75</v>
      </c>
      <c r="H5" s="9">
        <f t="shared" ref="H5:H64" si="0">G5/12</f>
        <v>52868.645833333336</v>
      </c>
      <c r="I5" s="10">
        <f t="shared" ref="I5:I64" si="1">(H5-$O$4)*30%</f>
        <v>13351.393750000001</v>
      </c>
      <c r="J5" s="8">
        <f t="shared" ref="J5:J64" si="2">($F5*10%)</f>
        <v>69283.748999999996</v>
      </c>
      <c r="K5" s="11">
        <f t="shared" ref="K5:K64" si="3">(I5/$P$4)</f>
        <v>118.00772273289731</v>
      </c>
      <c r="L5" s="8">
        <f>(118*$P$4)</f>
        <v>13350.52</v>
      </c>
    </row>
    <row r="6" spans="4:16" ht="40" thickBot="1" x14ac:dyDescent="0.2">
      <c r="D6" s="6" t="s">
        <v>2</v>
      </c>
      <c r="E6" s="7" t="s">
        <v>64</v>
      </c>
      <c r="F6" s="8">
        <v>692837.49</v>
      </c>
      <c r="G6" s="5">
        <v>1927192</v>
      </c>
      <c r="H6" s="9">
        <f t="shared" si="0"/>
        <v>160599.33333333334</v>
      </c>
      <c r="I6" s="10">
        <f t="shared" si="1"/>
        <v>45670.6</v>
      </c>
      <c r="J6" s="8">
        <f t="shared" si="2"/>
        <v>69283.748999999996</v>
      </c>
      <c r="K6" s="11">
        <f t="shared" si="3"/>
        <v>403.66448647693124</v>
      </c>
      <c r="L6" s="8">
        <f>(403*$P$4)</f>
        <v>45595.42</v>
      </c>
    </row>
    <row r="7" spans="4:16" ht="40" thickBot="1" x14ac:dyDescent="0.2">
      <c r="D7" s="6" t="s">
        <v>3</v>
      </c>
      <c r="E7" s="7" t="s">
        <v>65</v>
      </c>
      <c r="F7" s="8">
        <v>692837.49</v>
      </c>
      <c r="G7" s="5">
        <v>738000</v>
      </c>
      <c r="H7" s="9">
        <f t="shared" si="0"/>
        <v>61500</v>
      </c>
      <c r="I7" s="10">
        <f t="shared" si="1"/>
        <v>15940.8</v>
      </c>
      <c r="J7" s="8">
        <f t="shared" si="2"/>
        <v>69283.748999999996</v>
      </c>
      <c r="K7" s="11">
        <f t="shared" si="3"/>
        <v>140.89446703199576</v>
      </c>
      <c r="L7" s="8">
        <f>(140*$P$4)</f>
        <v>15839.6</v>
      </c>
    </row>
    <row r="8" spans="4:16" ht="40" thickBot="1" x14ac:dyDescent="0.2">
      <c r="D8" s="6" t="s">
        <v>4</v>
      </c>
      <c r="E8" s="7" t="s">
        <v>66</v>
      </c>
      <c r="F8" s="8">
        <v>395513.66</v>
      </c>
      <c r="G8" s="5">
        <v>1203346.78</v>
      </c>
      <c r="H8" s="9">
        <f t="shared" si="0"/>
        <v>100278.89833333333</v>
      </c>
      <c r="I8" s="10">
        <f t="shared" si="1"/>
        <v>27574.469499999999</v>
      </c>
      <c r="J8" s="8">
        <f t="shared" si="2"/>
        <v>39551.366000000002</v>
      </c>
      <c r="K8" s="11">
        <f t="shared" si="3"/>
        <v>243.7199001237405</v>
      </c>
      <c r="L8" s="8">
        <f>(243*$P$4)</f>
        <v>27493.02</v>
      </c>
    </row>
    <row r="9" spans="4:16" ht="40" thickBot="1" x14ac:dyDescent="0.2">
      <c r="D9" s="6" t="s">
        <v>5</v>
      </c>
      <c r="E9" s="7" t="s">
        <v>67</v>
      </c>
      <c r="F9" s="8">
        <v>692837.49</v>
      </c>
      <c r="G9" s="5">
        <v>492000</v>
      </c>
      <c r="H9" s="9">
        <f t="shared" si="0"/>
        <v>41000</v>
      </c>
      <c r="I9" s="10">
        <f t="shared" si="1"/>
        <v>9790.7999999999993</v>
      </c>
      <c r="J9" s="8">
        <f t="shared" si="2"/>
        <v>69283.748999999996</v>
      </c>
      <c r="K9" s="11">
        <f t="shared" si="3"/>
        <v>86.537033763478874</v>
      </c>
      <c r="L9" s="8">
        <f>(86*$P$4)</f>
        <v>9730.0400000000009</v>
      </c>
    </row>
    <row r="10" spans="4:16" ht="40" thickBot="1" x14ac:dyDescent="0.2">
      <c r="D10" s="6" t="s">
        <v>6</v>
      </c>
      <c r="E10" s="7" t="s">
        <v>65</v>
      </c>
      <c r="F10" s="8">
        <v>692837.49</v>
      </c>
      <c r="G10" s="5">
        <v>357074</v>
      </c>
      <c r="H10" s="9">
        <f t="shared" si="0"/>
        <v>29756.166666666668</v>
      </c>
      <c r="I10" s="10">
        <f t="shared" si="1"/>
        <v>6417.6500000000005</v>
      </c>
      <c r="J10" s="8">
        <f t="shared" si="2"/>
        <v>69283.748999999996</v>
      </c>
      <c r="K10" s="11">
        <f t="shared" si="3"/>
        <v>56.723086441576811</v>
      </c>
      <c r="L10" s="8">
        <f>(56*$P$4)</f>
        <v>6335.84</v>
      </c>
    </row>
    <row r="11" spans="4:16" ht="40" thickBot="1" x14ac:dyDescent="0.2">
      <c r="D11" s="6" t="s">
        <v>7</v>
      </c>
      <c r="E11" s="7" t="s">
        <v>64</v>
      </c>
      <c r="F11" s="8">
        <v>692837.49</v>
      </c>
      <c r="G11" s="5">
        <v>491273</v>
      </c>
      <c r="H11" s="9">
        <f t="shared" si="0"/>
        <v>40939.416666666664</v>
      </c>
      <c r="I11" s="10">
        <f t="shared" si="1"/>
        <v>9772.6249999999982</v>
      </c>
      <c r="J11" s="8">
        <f t="shared" si="2"/>
        <v>69283.748999999996</v>
      </c>
      <c r="K11" s="11">
        <f t="shared" si="3"/>
        <v>86.376392080608085</v>
      </c>
      <c r="L11" s="8">
        <f>(86*$P$4)</f>
        <v>9730.0400000000009</v>
      </c>
    </row>
    <row r="12" spans="4:16" ht="40" thickBot="1" x14ac:dyDescent="0.2">
      <c r="D12" s="6" t="s">
        <v>8</v>
      </c>
      <c r="E12" s="2" t="s">
        <v>84</v>
      </c>
      <c r="F12" s="8">
        <v>395513.66</v>
      </c>
      <c r="G12" s="5">
        <v>360031</v>
      </c>
      <c r="H12" s="9">
        <f t="shared" si="0"/>
        <v>30002.583333333332</v>
      </c>
      <c r="I12" s="10">
        <f t="shared" si="1"/>
        <v>6491.5749999999998</v>
      </c>
      <c r="J12" s="8">
        <f t="shared" si="2"/>
        <v>39551.366000000002</v>
      </c>
      <c r="K12" s="11">
        <f t="shared" si="3"/>
        <v>57.376480466678451</v>
      </c>
      <c r="L12" s="8">
        <f>(57*$P$4)</f>
        <v>6448.9800000000005</v>
      </c>
    </row>
    <row r="13" spans="4:16" ht="40" thickBot="1" x14ac:dyDescent="0.2">
      <c r="D13" s="6" t="s">
        <v>9</v>
      </c>
      <c r="E13" s="7" t="s">
        <v>65</v>
      </c>
      <c r="F13" s="8">
        <v>692837.49</v>
      </c>
      <c r="G13" s="5">
        <v>595115</v>
      </c>
      <c r="H13" s="9">
        <f t="shared" si="0"/>
        <v>49592.916666666664</v>
      </c>
      <c r="I13" s="10">
        <f t="shared" si="1"/>
        <v>12368.674999999999</v>
      </c>
      <c r="J13" s="8">
        <f t="shared" si="2"/>
        <v>69283.748999999996</v>
      </c>
      <c r="K13" s="11">
        <f t="shared" si="3"/>
        <v>109.32185787519886</v>
      </c>
      <c r="L13" s="8">
        <f>(109*$P$4)</f>
        <v>12332.26</v>
      </c>
    </row>
    <row r="14" spans="4:16" ht="40" thickBot="1" x14ac:dyDescent="0.2">
      <c r="D14" s="6" t="s">
        <v>10</v>
      </c>
      <c r="E14" s="7" t="s">
        <v>65</v>
      </c>
      <c r="F14" s="8">
        <v>692837.49</v>
      </c>
      <c r="G14" s="5">
        <v>161000</v>
      </c>
      <c r="H14" s="9">
        <f t="shared" si="0"/>
        <v>13416.666666666666</v>
      </c>
      <c r="I14" s="10">
        <f t="shared" si="1"/>
        <v>1515.7999999999997</v>
      </c>
      <c r="J14" s="8">
        <f t="shared" si="2"/>
        <v>69283.748999999996</v>
      </c>
      <c r="K14" s="11">
        <f t="shared" si="3"/>
        <v>13.397560544458191</v>
      </c>
      <c r="L14" s="8">
        <f>(13*$P$4)</f>
        <v>1470.82</v>
      </c>
    </row>
    <row r="15" spans="4:16" ht="40" thickBot="1" x14ac:dyDescent="0.2">
      <c r="D15" s="6" t="s">
        <v>11</v>
      </c>
      <c r="E15" s="7" t="s">
        <v>68</v>
      </c>
      <c r="F15" s="8">
        <v>395513.66</v>
      </c>
      <c r="G15" s="5">
        <v>528117</v>
      </c>
      <c r="H15" s="9">
        <f t="shared" si="0"/>
        <v>44009.75</v>
      </c>
      <c r="I15" s="10">
        <f t="shared" si="1"/>
        <v>10693.725</v>
      </c>
      <c r="J15" s="8">
        <f t="shared" si="2"/>
        <v>39551.366000000002</v>
      </c>
      <c r="K15" s="11">
        <f t="shared" si="3"/>
        <v>94.517633021035891</v>
      </c>
      <c r="L15" s="8">
        <f>(94*$P$4)</f>
        <v>10635.16</v>
      </c>
    </row>
    <row r="16" spans="4:16" ht="40" thickBot="1" x14ac:dyDescent="0.2">
      <c r="D16" s="6" t="s">
        <v>12</v>
      </c>
      <c r="E16" s="7" t="s">
        <v>69</v>
      </c>
      <c r="F16" s="8">
        <v>395513.66</v>
      </c>
      <c r="G16" s="5">
        <v>628097</v>
      </c>
      <c r="H16" s="9">
        <f t="shared" si="0"/>
        <v>52341.416666666664</v>
      </c>
      <c r="I16" s="10">
        <f t="shared" si="1"/>
        <v>13193.224999999999</v>
      </c>
      <c r="J16" s="8">
        <f t="shared" si="2"/>
        <v>39551.366000000002</v>
      </c>
      <c r="K16" s="11">
        <f t="shared" si="3"/>
        <v>116.60973130634611</v>
      </c>
      <c r="L16" s="8">
        <f>(116*$P$4)</f>
        <v>13124.24</v>
      </c>
    </row>
    <row r="17" spans="4:12" ht="40" thickBot="1" x14ac:dyDescent="0.2">
      <c r="D17" s="6" t="s">
        <v>13</v>
      </c>
      <c r="E17" s="7" t="s">
        <v>70</v>
      </c>
      <c r="F17" s="8">
        <v>507027.04</v>
      </c>
      <c r="G17" s="5">
        <v>1721604</v>
      </c>
      <c r="H17" s="9">
        <f t="shared" si="0"/>
        <v>143467</v>
      </c>
      <c r="I17" s="10">
        <f t="shared" si="1"/>
        <v>40530.9</v>
      </c>
      <c r="J17" s="8">
        <f t="shared" si="2"/>
        <v>50702.703999999998</v>
      </c>
      <c r="K17" s="11">
        <f t="shared" si="3"/>
        <v>358.23669789641156</v>
      </c>
      <c r="L17" s="8">
        <f>(358*$P$4)</f>
        <v>40504.120000000003</v>
      </c>
    </row>
    <row r="18" spans="4:12" ht="40" thickBot="1" x14ac:dyDescent="0.2">
      <c r="D18" s="6" t="s">
        <v>14</v>
      </c>
      <c r="E18" s="7" t="s">
        <v>65</v>
      </c>
      <c r="F18" s="8">
        <v>692837.49</v>
      </c>
      <c r="G18" s="5">
        <v>632417</v>
      </c>
      <c r="H18" s="9">
        <f t="shared" si="0"/>
        <v>52701.416666666664</v>
      </c>
      <c r="I18" s="10">
        <f t="shared" si="1"/>
        <v>13301.224999999999</v>
      </c>
      <c r="J18" s="8">
        <f t="shared" si="2"/>
        <v>69283.748999999996</v>
      </c>
      <c r="K18" s="11">
        <f t="shared" si="3"/>
        <v>117.56430086618347</v>
      </c>
      <c r="L18" s="8">
        <f>(117*$P$4)</f>
        <v>13237.38</v>
      </c>
    </row>
    <row r="19" spans="4:12" ht="40" thickBot="1" x14ac:dyDescent="0.2">
      <c r="D19" s="6" t="s">
        <v>15</v>
      </c>
      <c r="E19" s="7" t="s">
        <v>65</v>
      </c>
      <c r="F19" s="8">
        <v>692837.49</v>
      </c>
      <c r="G19" s="5">
        <v>358005</v>
      </c>
      <c r="H19" s="9">
        <f t="shared" si="0"/>
        <v>29833.75</v>
      </c>
      <c r="I19" s="10">
        <f t="shared" si="1"/>
        <v>6440.9250000000002</v>
      </c>
      <c r="J19" s="8">
        <f t="shared" si="2"/>
        <v>69283.748999999996</v>
      </c>
      <c r="K19" s="11">
        <f t="shared" si="3"/>
        <v>56.928805020328795</v>
      </c>
      <c r="L19" s="8">
        <f>(56*$P$4)</f>
        <v>6335.84</v>
      </c>
    </row>
    <row r="20" spans="4:12" ht="40" thickBot="1" x14ac:dyDescent="0.2">
      <c r="D20" s="6" t="s">
        <v>16</v>
      </c>
      <c r="E20" s="7" t="s">
        <v>71</v>
      </c>
      <c r="F20" s="8">
        <v>507027.04</v>
      </c>
      <c r="G20" s="5">
        <v>1146679.96</v>
      </c>
      <c r="H20" s="9">
        <f t="shared" si="0"/>
        <v>95556.66333333333</v>
      </c>
      <c r="I20" s="10">
        <f t="shared" si="1"/>
        <v>26157.798999999999</v>
      </c>
      <c r="J20" s="8">
        <f t="shared" si="2"/>
        <v>50702.703999999998</v>
      </c>
      <c r="K20" s="11">
        <f t="shared" si="3"/>
        <v>231.19850627541098</v>
      </c>
      <c r="L20" s="8">
        <f>(231*$P$4)</f>
        <v>26135.34</v>
      </c>
    </row>
    <row r="21" spans="4:12" ht="40" thickBot="1" x14ac:dyDescent="0.2">
      <c r="D21" s="6" t="s">
        <v>17</v>
      </c>
      <c r="E21" s="7" t="s">
        <v>65</v>
      </c>
      <c r="F21" s="8">
        <v>692837.49</v>
      </c>
      <c r="G21" s="5">
        <v>523094</v>
      </c>
      <c r="H21" s="9">
        <f t="shared" si="0"/>
        <v>43591.166666666664</v>
      </c>
      <c r="I21" s="10">
        <f t="shared" si="1"/>
        <v>10568.15</v>
      </c>
      <c r="J21" s="8">
        <f t="shared" si="2"/>
        <v>69283.748999999996</v>
      </c>
      <c r="K21" s="11">
        <f t="shared" si="3"/>
        <v>93.407724942549052</v>
      </c>
      <c r="L21" s="8">
        <f>(93*$P$4)</f>
        <v>10522.02</v>
      </c>
    </row>
    <row r="22" spans="4:12" ht="40" thickBot="1" x14ac:dyDescent="0.2">
      <c r="D22" s="6" t="s">
        <v>18</v>
      </c>
      <c r="E22" s="7" t="s">
        <v>72</v>
      </c>
      <c r="F22" s="8">
        <v>692837.49</v>
      </c>
      <c r="G22" s="5">
        <v>815353.78</v>
      </c>
      <c r="H22" s="9">
        <f t="shared" si="0"/>
        <v>67946.148333333331</v>
      </c>
      <c r="I22" s="10">
        <f t="shared" si="1"/>
        <v>17874.644499999999</v>
      </c>
      <c r="J22" s="8">
        <f t="shared" si="2"/>
        <v>69283.748999999996</v>
      </c>
      <c r="K22" s="11">
        <f t="shared" si="3"/>
        <v>157.98695863531907</v>
      </c>
      <c r="L22" s="8">
        <f>(158*$P$4)</f>
        <v>17876.12</v>
      </c>
    </row>
    <row r="23" spans="4:12" ht="40" thickBot="1" x14ac:dyDescent="0.2">
      <c r="D23" s="6" t="s">
        <v>19</v>
      </c>
      <c r="E23" s="7" t="s">
        <v>65</v>
      </c>
      <c r="F23" s="8">
        <v>692837.49</v>
      </c>
      <c r="G23" s="5">
        <v>1195353</v>
      </c>
      <c r="H23" s="9">
        <f t="shared" si="0"/>
        <v>99612.75</v>
      </c>
      <c r="I23" s="10">
        <f t="shared" si="1"/>
        <v>27374.625</v>
      </c>
      <c r="J23" s="8">
        <f t="shared" si="2"/>
        <v>69283.748999999996</v>
      </c>
      <c r="K23" s="11">
        <f t="shared" si="3"/>
        <v>241.95355312002829</v>
      </c>
      <c r="L23" s="8">
        <f>(242*$P$4)</f>
        <v>27379.88</v>
      </c>
    </row>
    <row r="24" spans="4:12" ht="40" thickBot="1" x14ac:dyDescent="0.2">
      <c r="D24" s="6" t="s">
        <v>20</v>
      </c>
      <c r="E24" s="2" t="s">
        <v>71</v>
      </c>
      <c r="F24" s="8">
        <v>507027.04</v>
      </c>
      <c r="G24" s="5">
        <v>1811440</v>
      </c>
      <c r="H24" s="9">
        <f t="shared" si="0"/>
        <v>150953.33333333334</v>
      </c>
      <c r="I24" s="10">
        <f t="shared" si="1"/>
        <v>42776.800000000003</v>
      </c>
      <c r="J24" s="8">
        <f t="shared" si="2"/>
        <v>50702.703999999998</v>
      </c>
      <c r="K24" s="11">
        <f t="shared" si="3"/>
        <v>378.08732543751108</v>
      </c>
      <c r="L24" s="8">
        <f>(378*$P$4)</f>
        <v>42766.92</v>
      </c>
    </row>
    <row r="25" spans="4:12" ht="40" thickBot="1" x14ac:dyDescent="0.2">
      <c r="D25" s="6" t="s">
        <v>21</v>
      </c>
      <c r="E25" s="2" t="s">
        <v>73</v>
      </c>
      <c r="F25" s="8">
        <v>395513.66</v>
      </c>
      <c r="G25" s="5">
        <v>716412.8</v>
      </c>
      <c r="H25" s="9">
        <f t="shared" si="0"/>
        <v>59701.066666666673</v>
      </c>
      <c r="I25" s="10">
        <f t="shared" si="1"/>
        <v>15401.12</v>
      </c>
      <c r="J25" s="8">
        <f t="shared" si="2"/>
        <v>39551.366000000002</v>
      </c>
      <c r="K25" s="11">
        <f t="shared" si="3"/>
        <v>136.12444758706027</v>
      </c>
      <c r="L25" s="8">
        <f>(136*$P$4)</f>
        <v>15387.04</v>
      </c>
    </row>
    <row r="26" spans="4:12" ht="27" thickBot="1" x14ac:dyDescent="0.2">
      <c r="D26" s="6" t="s">
        <v>22</v>
      </c>
      <c r="E26" s="7" t="s">
        <v>74</v>
      </c>
      <c r="F26" s="8">
        <v>395513.66</v>
      </c>
      <c r="G26" s="5">
        <v>316258.83</v>
      </c>
      <c r="H26" s="9">
        <f t="shared" si="0"/>
        <v>26354.9025</v>
      </c>
      <c r="I26" s="10">
        <f t="shared" si="1"/>
        <v>5397.2707499999997</v>
      </c>
      <c r="J26" s="8">
        <f t="shared" si="2"/>
        <v>39551.366000000002</v>
      </c>
      <c r="K26" s="11">
        <f t="shared" si="3"/>
        <v>47.704355223616751</v>
      </c>
      <c r="L26" s="8">
        <f>(47*$P$4)</f>
        <v>5317.58</v>
      </c>
    </row>
    <row r="27" spans="4:12" ht="40" thickBot="1" x14ac:dyDescent="0.2">
      <c r="D27" s="6" t="s">
        <v>23</v>
      </c>
      <c r="E27" s="7" t="s">
        <v>65</v>
      </c>
      <c r="F27" s="8">
        <v>692837.49</v>
      </c>
      <c r="G27" s="5">
        <v>874000</v>
      </c>
      <c r="H27" s="9">
        <f t="shared" si="0"/>
        <v>72833.333333333328</v>
      </c>
      <c r="I27" s="10">
        <f t="shared" si="1"/>
        <v>19340.8</v>
      </c>
      <c r="J27" s="8">
        <f t="shared" si="2"/>
        <v>69283.748999999996</v>
      </c>
      <c r="K27" s="11">
        <f t="shared" si="3"/>
        <v>170.94573095280182</v>
      </c>
      <c r="L27" s="8">
        <f>(170*$P$4)</f>
        <v>19233.8</v>
      </c>
    </row>
    <row r="28" spans="4:12" ht="40" thickBot="1" x14ac:dyDescent="0.2">
      <c r="D28" s="6" t="s">
        <v>24</v>
      </c>
      <c r="E28" s="7" t="s">
        <v>64</v>
      </c>
      <c r="F28" s="8">
        <v>692837.49</v>
      </c>
      <c r="G28" s="5">
        <v>843308</v>
      </c>
      <c r="H28" s="9">
        <f t="shared" si="0"/>
        <v>70275.666666666672</v>
      </c>
      <c r="I28" s="10">
        <f t="shared" si="1"/>
        <v>18573.5</v>
      </c>
      <c r="J28" s="8">
        <f t="shared" si="2"/>
        <v>69283.748999999996</v>
      </c>
      <c r="K28" s="11">
        <f t="shared" si="3"/>
        <v>164.16386777443876</v>
      </c>
      <c r="L28" s="8">
        <f>(164*$P$4)</f>
        <v>18554.96</v>
      </c>
    </row>
    <row r="29" spans="4:12" ht="40" thickBot="1" x14ac:dyDescent="0.2">
      <c r="D29" s="6" t="s">
        <v>25</v>
      </c>
      <c r="E29" s="7" t="s">
        <v>70</v>
      </c>
      <c r="F29" s="8">
        <v>507027.04</v>
      </c>
      <c r="G29" s="5">
        <v>2043605</v>
      </c>
      <c r="H29" s="9">
        <f t="shared" si="0"/>
        <v>170300.41666666666</v>
      </c>
      <c r="I29" s="10">
        <f t="shared" si="1"/>
        <v>48580.924999999996</v>
      </c>
      <c r="J29" s="8">
        <f t="shared" si="2"/>
        <v>50702.703999999998</v>
      </c>
      <c r="K29" s="11">
        <f t="shared" si="3"/>
        <v>429.38770549761352</v>
      </c>
      <c r="L29" s="8">
        <f>(429*$P$4)</f>
        <v>48537.06</v>
      </c>
    </row>
    <row r="30" spans="4:12" ht="40" thickBot="1" x14ac:dyDescent="0.2">
      <c r="D30" s="6" t="s">
        <v>26</v>
      </c>
      <c r="E30" s="7" t="s">
        <v>75</v>
      </c>
      <c r="F30" s="8">
        <v>692837.49</v>
      </c>
      <c r="G30" s="5">
        <v>1165011.71</v>
      </c>
      <c r="H30" s="9">
        <f t="shared" si="0"/>
        <v>97084.309166666659</v>
      </c>
      <c r="I30" s="10">
        <f t="shared" si="1"/>
        <v>26616.092749999996</v>
      </c>
      <c r="J30" s="8">
        <f t="shared" si="2"/>
        <v>69283.748999999996</v>
      </c>
      <c r="K30" s="11">
        <f t="shared" si="3"/>
        <v>235.24918463850094</v>
      </c>
      <c r="L30" s="8">
        <f>(235*$P$4)</f>
        <v>26587.9</v>
      </c>
    </row>
    <row r="31" spans="4:12" ht="27" thickBot="1" x14ac:dyDescent="0.2">
      <c r="D31" s="6" t="s">
        <v>27</v>
      </c>
      <c r="E31" s="7" t="s">
        <v>83</v>
      </c>
      <c r="F31" s="8">
        <v>395513.66</v>
      </c>
      <c r="G31" s="5">
        <v>288000</v>
      </c>
      <c r="H31" s="9">
        <f t="shared" si="0"/>
        <v>24000</v>
      </c>
      <c r="I31" s="10">
        <f t="shared" si="1"/>
        <v>4690.8</v>
      </c>
      <c r="J31" s="8">
        <f t="shared" si="2"/>
        <v>39551.366000000002</v>
      </c>
      <c r="K31" s="11">
        <f t="shared" si="3"/>
        <v>41.460137882269755</v>
      </c>
      <c r="L31" s="8">
        <f>(41*$P$4)</f>
        <v>4638.74</v>
      </c>
    </row>
    <row r="32" spans="4:12" ht="40" thickBot="1" x14ac:dyDescent="0.2">
      <c r="D32" s="6" t="s">
        <v>28</v>
      </c>
      <c r="E32" s="2" t="s">
        <v>66</v>
      </c>
      <c r="F32" s="8">
        <v>395513.66</v>
      </c>
      <c r="G32" s="5">
        <v>500821.44</v>
      </c>
      <c r="H32" s="9">
        <f t="shared" si="0"/>
        <v>41735.120000000003</v>
      </c>
      <c r="I32" s="10">
        <f t="shared" si="1"/>
        <v>10011.336000000001</v>
      </c>
      <c r="J32" s="8">
        <f t="shared" si="2"/>
        <v>39551.366000000002</v>
      </c>
      <c r="K32" s="11">
        <f t="shared" si="3"/>
        <v>88.486264804666789</v>
      </c>
      <c r="L32" s="8">
        <f>(88*$P$4)</f>
        <v>9956.32</v>
      </c>
    </row>
    <row r="33" spans="4:12" ht="40" thickBot="1" x14ac:dyDescent="0.2">
      <c r="D33" s="6" t="s">
        <v>29</v>
      </c>
      <c r="E33" s="7" t="s">
        <v>76</v>
      </c>
      <c r="F33" s="8">
        <v>395513.66</v>
      </c>
      <c r="G33" s="5">
        <v>926451</v>
      </c>
      <c r="H33" s="9">
        <f t="shared" si="0"/>
        <v>77204.25</v>
      </c>
      <c r="I33" s="10">
        <f t="shared" si="1"/>
        <v>20652.075000000001</v>
      </c>
      <c r="J33" s="8">
        <f t="shared" si="2"/>
        <v>39551.366000000002</v>
      </c>
      <c r="K33" s="11">
        <f t="shared" si="3"/>
        <v>182.53557539331803</v>
      </c>
      <c r="L33" s="8">
        <f>(182*$P$4)</f>
        <v>20591.48</v>
      </c>
    </row>
    <row r="34" spans="4:12" ht="40" thickBot="1" x14ac:dyDescent="0.2">
      <c r="D34" s="6" t="s">
        <v>30</v>
      </c>
      <c r="E34" s="7" t="s">
        <v>65</v>
      </c>
      <c r="F34" s="8">
        <v>692837.49</v>
      </c>
      <c r="G34" s="5">
        <v>1044899.05</v>
      </c>
      <c r="H34" s="9">
        <f t="shared" si="0"/>
        <v>87074.920833333337</v>
      </c>
      <c r="I34" s="10">
        <f t="shared" si="1"/>
        <v>23613.276249999999</v>
      </c>
      <c r="J34" s="8">
        <f t="shared" si="2"/>
        <v>69283.748999999996</v>
      </c>
      <c r="K34" s="11">
        <f t="shared" si="3"/>
        <v>208.70846959519179</v>
      </c>
      <c r="L34" s="8">
        <f>(208*$P$4)</f>
        <v>23533.119999999999</v>
      </c>
    </row>
    <row r="35" spans="4:12" ht="40" thickBot="1" x14ac:dyDescent="0.2">
      <c r="D35" s="6" t="s">
        <v>31</v>
      </c>
      <c r="E35" s="7" t="s">
        <v>77</v>
      </c>
      <c r="F35" s="8">
        <v>395513.66</v>
      </c>
      <c r="G35" s="5">
        <v>718329</v>
      </c>
      <c r="H35" s="9">
        <f t="shared" si="0"/>
        <v>59860.75</v>
      </c>
      <c r="I35" s="10">
        <f t="shared" si="1"/>
        <v>15449.025</v>
      </c>
      <c r="J35" s="8">
        <f t="shared" si="2"/>
        <v>39551.366000000002</v>
      </c>
      <c r="K35" s="11">
        <f t="shared" si="3"/>
        <v>136.54786105709741</v>
      </c>
      <c r="L35" s="8">
        <f>(136*$P$4)</f>
        <v>15387.04</v>
      </c>
    </row>
    <row r="36" spans="4:12" ht="40" thickBot="1" x14ac:dyDescent="0.2">
      <c r="D36" s="6" t="s">
        <v>32</v>
      </c>
      <c r="E36" s="7" t="s">
        <v>64</v>
      </c>
      <c r="F36" s="8">
        <v>692837.49</v>
      </c>
      <c r="G36" s="5">
        <v>1723110.55</v>
      </c>
      <c r="H36" s="9">
        <f t="shared" si="0"/>
        <v>143592.54583333334</v>
      </c>
      <c r="I36" s="10">
        <f t="shared" si="1"/>
        <v>40568.563750000001</v>
      </c>
      <c r="J36" s="8">
        <f t="shared" si="2"/>
        <v>69283.748999999996</v>
      </c>
      <c r="K36" s="11">
        <f t="shared" si="3"/>
        <v>358.56959298214605</v>
      </c>
      <c r="L36" s="8">
        <f>(358*$P$4)</f>
        <v>40504.120000000003</v>
      </c>
    </row>
    <row r="37" spans="4:12" ht="40" thickBot="1" x14ac:dyDescent="0.2">
      <c r="D37" s="6" t="s">
        <v>33</v>
      </c>
      <c r="E37" s="7" t="s">
        <v>67</v>
      </c>
      <c r="F37" s="8">
        <v>692837.49</v>
      </c>
      <c r="G37" s="5">
        <v>902831</v>
      </c>
      <c r="H37" s="9">
        <f t="shared" si="0"/>
        <v>75235.916666666672</v>
      </c>
      <c r="I37" s="10">
        <f t="shared" si="1"/>
        <v>20061.575000000001</v>
      </c>
      <c r="J37" s="8">
        <f t="shared" si="2"/>
        <v>69283.748999999996</v>
      </c>
      <c r="K37" s="11">
        <f t="shared" si="3"/>
        <v>177.31637793883684</v>
      </c>
      <c r="L37" s="8">
        <f>(177*$P$4)</f>
        <v>20025.78</v>
      </c>
    </row>
    <row r="38" spans="4:12" ht="40" thickBot="1" x14ac:dyDescent="0.2">
      <c r="D38" s="6" t="s">
        <v>34</v>
      </c>
      <c r="E38" s="7" t="s">
        <v>65</v>
      </c>
      <c r="F38" s="8">
        <v>692837.49</v>
      </c>
      <c r="G38" s="5">
        <v>696914</v>
      </c>
      <c r="H38" s="9">
        <f t="shared" si="0"/>
        <v>58076.166666666664</v>
      </c>
      <c r="I38" s="10">
        <f t="shared" si="1"/>
        <v>14913.649999999998</v>
      </c>
      <c r="J38" s="8">
        <f t="shared" si="2"/>
        <v>69283.748999999996</v>
      </c>
      <c r="K38" s="11">
        <f t="shared" si="3"/>
        <v>131.81589181544987</v>
      </c>
      <c r="L38" s="8">
        <f>(131*$P$4)</f>
        <v>14821.34</v>
      </c>
    </row>
    <row r="39" spans="4:12" ht="40" thickBot="1" x14ac:dyDescent="0.2">
      <c r="D39" s="6" t="s">
        <v>35</v>
      </c>
      <c r="E39" s="7" t="s">
        <v>75</v>
      </c>
      <c r="F39" s="8">
        <v>692837.49</v>
      </c>
      <c r="G39" s="5">
        <v>1624995</v>
      </c>
      <c r="H39" s="9">
        <f t="shared" si="0"/>
        <v>135416.25</v>
      </c>
      <c r="I39" s="10">
        <f t="shared" si="1"/>
        <v>38115.674999999996</v>
      </c>
      <c r="J39" s="8">
        <f t="shared" si="2"/>
        <v>69283.748999999996</v>
      </c>
      <c r="K39" s="11">
        <f t="shared" si="3"/>
        <v>336.88947321902066</v>
      </c>
      <c r="L39" s="8">
        <f>(336*$P$4)</f>
        <v>38015.040000000001</v>
      </c>
    </row>
    <row r="40" spans="4:12" ht="40" thickBot="1" x14ac:dyDescent="0.2">
      <c r="D40" s="6" t="s">
        <v>36</v>
      </c>
      <c r="E40" s="7" t="s">
        <v>75</v>
      </c>
      <c r="F40" s="8">
        <v>692837.49</v>
      </c>
      <c r="G40" s="5">
        <v>1140000</v>
      </c>
      <c r="H40" s="9">
        <f t="shared" si="0"/>
        <v>95000</v>
      </c>
      <c r="I40" s="10">
        <f t="shared" si="1"/>
        <v>25990.799999999999</v>
      </c>
      <c r="J40" s="8">
        <f t="shared" si="2"/>
        <v>69283.748999999996</v>
      </c>
      <c r="K40" s="11">
        <f t="shared" si="3"/>
        <v>229.72246773908432</v>
      </c>
      <c r="L40" s="8">
        <f>(229*$P$4)</f>
        <v>25909.06</v>
      </c>
    </row>
    <row r="41" spans="4:12" ht="40" thickBot="1" x14ac:dyDescent="0.2">
      <c r="D41" s="6" t="s">
        <v>37</v>
      </c>
      <c r="E41" s="7" t="s">
        <v>75</v>
      </c>
      <c r="F41" s="8">
        <v>692837.49</v>
      </c>
      <c r="G41" s="5">
        <v>2152662</v>
      </c>
      <c r="H41" s="9">
        <f t="shared" si="0"/>
        <v>179388.5</v>
      </c>
      <c r="I41" s="10">
        <f t="shared" si="1"/>
        <v>51307.35</v>
      </c>
      <c r="J41" s="8">
        <f t="shared" si="2"/>
        <v>69283.748999999996</v>
      </c>
      <c r="K41" s="11">
        <f t="shared" si="3"/>
        <v>453.48550468446172</v>
      </c>
      <c r="L41" s="8">
        <f>(453*$P$4)</f>
        <v>51252.42</v>
      </c>
    </row>
    <row r="42" spans="4:12" ht="40" thickBot="1" x14ac:dyDescent="0.2">
      <c r="D42" s="6" t="s">
        <v>38</v>
      </c>
      <c r="E42" s="7" t="s">
        <v>64</v>
      </c>
      <c r="F42" s="8">
        <v>692837.49</v>
      </c>
      <c r="G42" s="5">
        <v>1642144</v>
      </c>
      <c r="H42" s="9">
        <f t="shared" si="0"/>
        <v>136845.33333333334</v>
      </c>
      <c r="I42" s="10">
        <f t="shared" si="1"/>
        <v>38544.400000000001</v>
      </c>
      <c r="J42" s="8">
        <f t="shared" si="2"/>
        <v>69283.748999999996</v>
      </c>
      <c r="K42" s="11">
        <f t="shared" si="3"/>
        <v>340.67880502032881</v>
      </c>
      <c r="L42" s="8">
        <f>(340*$P$4)</f>
        <v>38467.599999999999</v>
      </c>
    </row>
    <row r="43" spans="4:12" ht="40" thickBot="1" x14ac:dyDescent="0.2">
      <c r="D43" s="6" t="s">
        <v>39</v>
      </c>
      <c r="E43" s="7" t="s">
        <v>65</v>
      </c>
      <c r="F43" s="8">
        <v>692837.49</v>
      </c>
      <c r="G43" s="5">
        <v>924380</v>
      </c>
      <c r="H43" s="9">
        <f t="shared" si="0"/>
        <v>77031.666666666672</v>
      </c>
      <c r="I43" s="10">
        <f t="shared" si="1"/>
        <v>20600.3</v>
      </c>
      <c r="J43" s="8">
        <f t="shared" si="2"/>
        <v>69283.748999999996</v>
      </c>
      <c r="K43" s="11">
        <f t="shared" si="3"/>
        <v>182.07795651405337</v>
      </c>
      <c r="L43" s="8">
        <f>(182*$P$4)</f>
        <v>20591.48</v>
      </c>
    </row>
    <row r="44" spans="4:12" ht="40" thickBot="1" x14ac:dyDescent="0.2">
      <c r="D44" s="6" t="s">
        <v>40</v>
      </c>
      <c r="E44" s="7" t="s">
        <v>67</v>
      </c>
      <c r="F44" s="8">
        <v>692837.49</v>
      </c>
      <c r="G44" s="5">
        <v>281600</v>
      </c>
      <c r="H44" s="9">
        <f t="shared" si="0"/>
        <v>23466.666666666668</v>
      </c>
      <c r="I44" s="10">
        <f t="shared" si="1"/>
        <v>4530.8</v>
      </c>
      <c r="J44" s="8">
        <f t="shared" si="2"/>
        <v>69283.748999999996</v>
      </c>
      <c r="K44" s="11">
        <f t="shared" si="3"/>
        <v>40.045960756584762</v>
      </c>
      <c r="L44" s="8">
        <f>(40*$P$4)</f>
        <v>4525.6000000000004</v>
      </c>
    </row>
    <row r="45" spans="4:12" ht="40" thickBot="1" x14ac:dyDescent="0.2">
      <c r="D45" s="6" t="s">
        <v>41</v>
      </c>
      <c r="E45" s="7" t="s">
        <v>71</v>
      </c>
      <c r="F45" s="8">
        <v>507027.04</v>
      </c>
      <c r="G45" s="5">
        <v>1793303</v>
      </c>
      <c r="H45" s="9">
        <f t="shared" si="0"/>
        <v>149441.91666666666</v>
      </c>
      <c r="I45" s="10">
        <f t="shared" si="1"/>
        <v>42323.374999999993</v>
      </c>
      <c r="J45" s="8">
        <f t="shared" si="2"/>
        <v>50702.703999999998</v>
      </c>
      <c r="K45" s="11">
        <f t="shared" si="3"/>
        <v>374.07968004242525</v>
      </c>
      <c r="L45" s="8">
        <f>(374*$P$4)</f>
        <v>42314.36</v>
      </c>
    </row>
    <row r="46" spans="4:12" ht="40" thickBot="1" x14ac:dyDescent="0.2">
      <c r="D46" s="6" t="s">
        <v>42</v>
      </c>
      <c r="E46" s="7" t="s">
        <v>81</v>
      </c>
      <c r="F46" s="8">
        <v>395513.66</v>
      </c>
      <c r="G46" s="5">
        <v>716777</v>
      </c>
      <c r="H46" s="9">
        <f t="shared" si="0"/>
        <v>59731.416666666664</v>
      </c>
      <c r="I46" s="10">
        <f t="shared" si="1"/>
        <v>15410.224999999999</v>
      </c>
      <c r="J46" s="8">
        <f t="shared" si="2"/>
        <v>39551.366000000002</v>
      </c>
      <c r="K46" s="11">
        <f t="shared" si="3"/>
        <v>136.20492310411879</v>
      </c>
      <c r="L46" s="8">
        <f>(136*$P$4)</f>
        <v>15387.04</v>
      </c>
    </row>
    <row r="47" spans="4:12" ht="40" thickBot="1" x14ac:dyDescent="0.2">
      <c r="D47" s="6" t="s">
        <v>43</v>
      </c>
      <c r="E47" s="7" t="s">
        <v>65</v>
      </c>
      <c r="F47" s="8">
        <v>692837.49</v>
      </c>
      <c r="G47" s="5">
        <v>1491804</v>
      </c>
      <c r="H47" s="9">
        <f t="shared" si="0"/>
        <v>124317</v>
      </c>
      <c r="I47" s="10">
        <f t="shared" si="1"/>
        <v>34785.9</v>
      </c>
      <c r="J47" s="8">
        <f t="shared" si="2"/>
        <v>69283.748999999996</v>
      </c>
      <c r="K47" s="11">
        <f t="shared" si="3"/>
        <v>307.45890047728477</v>
      </c>
      <c r="L47" s="8">
        <f>(307*$P$4)</f>
        <v>34733.980000000003</v>
      </c>
    </row>
    <row r="48" spans="4:12" ht="40" thickBot="1" x14ac:dyDescent="0.2">
      <c r="D48" s="6" t="s">
        <v>44</v>
      </c>
      <c r="E48" s="7" t="s">
        <v>67</v>
      </c>
      <c r="F48" s="8">
        <v>692837.49</v>
      </c>
      <c r="G48" s="5">
        <v>361559</v>
      </c>
      <c r="H48" s="9">
        <f t="shared" si="0"/>
        <v>30129.916666666668</v>
      </c>
      <c r="I48" s="10">
        <f t="shared" si="1"/>
        <v>6529.7750000000005</v>
      </c>
      <c r="J48" s="8">
        <f t="shared" si="2"/>
        <v>69283.748999999996</v>
      </c>
      <c r="K48" s="11">
        <f t="shared" si="3"/>
        <v>57.71411525543575</v>
      </c>
      <c r="L48" s="8">
        <f>(57*$P$4)</f>
        <v>6448.9800000000005</v>
      </c>
    </row>
    <row r="49" spans="4:12" ht="40" thickBot="1" x14ac:dyDescent="0.2">
      <c r="D49" s="6" t="s">
        <v>45</v>
      </c>
      <c r="E49" s="7" t="s">
        <v>65</v>
      </c>
      <c r="F49" s="8">
        <v>692837.49</v>
      </c>
      <c r="G49" s="5">
        <v>411000</v>
      </c>
      <c r="H49" s="9">
        <f t="shared" si="0"/>
        <v>34250</v>
      </c>
      <c r="I49" s="10">
        <f t="shared" si="1"/>
        <v>7765.7999999999993</v>
      </c>
      <c r="J49" s="8">
        <f t="shared" si="2"/>
        <v>69283.748999999996</v>
      </c>
      <c r="K49" s="11">
        <f t="shared" si="3"/>
        <v>68.638854516528184</v>
      </c>
      <c r="L49" s="8">
        <f>(68*$P$4)</f>
        <v>7693.52</v>
      </c>
    </row>
    <row r="50" spans="4:12" ht="40" thickBot="1" x14ac:dyDescent="0.2">
      <c r="D50" s="6" t="s">
        <v>46</v>
      </c>
      <c r="E50" s="7" t="s">
        <v>64</v>
      </c>
      <c r="F50" s="8">
        <v>692837.49</v>
      </c>
      <c r="G50" s="5">
        <v>1199000</v>
      </c>
      <c r="H50" s="9">
        <f t="shared" si="0"/>
        <v>99916.666666666672</v>
      </c>
      <c r="I50" s="10">
        <f t="shared" si="1"/>
        <v>27465.8</v>
      </c>
      <c r="J50" s="8">
        <f t="shared" si="2"/>
        <v>69283.748999999996</v>
      </c>
      <c r="K50" s="11">
        <f t="shared" si="3"/>
        <v>242.75941311649282</v>
      </c>
      <c r="L50" s="8">
        <f>(242*$P$4)</f>
        <v>27379.88</v>
      </c>
    </row>
    <row r="51" spans="4:12" ht="40" thickBot="1" x14ac:dyDescent="0.2">
      <c r="D51" s="6" t="s">
        <v>47</v>
      </c>
      <c r="E51" s="7" t="s">
        <v>64</v>
      </c>
      <c r="F51" s="8">
        <v>692837.49</v>
      </c>
      <c r="G51" s="5">
        <v>2026571</v>
      </c>
      <c r="H51" s="9">
        <f t="shared" si="0"/>
        <v>168880.91666666666</v>
      </c>
      <c r="I51" s="10">
        <f t="shared" si="1"/>
        <v>48155.074999999997</v>
      </c>
      <c r="J51" s="8">
        <f t="shared" si="2"/>
        <v>69283.748999999996</v>
      </c>
      <c r="K51" s="11">
        <f t="shared" si="3"/>
        <v>425.62378469153259</v>
      </c>
      <c r="L51" s="8">
        <f>(425*$P$4)</f>
        <v>48084.5</v>
      </c>
    </row>
    <row r="52" spans="4:12" ht="40" thickBot="1" x14ac:dyDescent="0.2">
      <c r="D52" s="6" t="s">
        <v>48</v>
      </c>
      <c r="E52" s="7" t="s">
        <v>78</v>
      </c>
      <c r="F52" s="8">
        <v>395513.66</v>
      </c>
      <c r="G52" s="5">
        <v>457000</v>
      </c>
      <c r="H52" s="9">
        <f t="shared" si="0"/>
        <v>38083.333333333336</v>
      </c>
      <c r="I52" s="10">
        <f t="shared" si="1"/>
        <v>8915.8000000000011</v>
      </c>
      <c r="J52" s="8">
        <f t="shared" si="2"/>
        <v>39551.366000000002</v>
      </c>
      <c r="K52" s="11">
        <f t="shared" si="3"/>
        <v>78.803252607389084</v>
      </c>
      <c r="L52" s="8">
        <f>(78*$P$4)</f>
        <v>8824.92</v>
      </c>
    </row>
    <row r="53" spans="4:12" ht="40" thickBot="1" x14ac:dyDescent="0.2">
      <c r="D53" s="6" t="s">
        <v>49</v>
      </c>
      <c r="E53" s="7" t="s">
        <v>79</v>
      </c>
      <c r="F53" s="8">
        <v>395513.66</v>
      </c>
      <c r="G53" s="5">
        <v>460879</v>
      </c>
      <c r="H53" s="9">
        <f t="shared" si="0"/>
        <v>38406.583333333336</v>
      </c>
      <c r="I53" s="10">
        <f t="shared" si="1"/>
        <v>9012.7749999999996</v>
      </c>
      <c r="J53" s="8">
        <f t="shared" si="2"/>
        <v>39551.366000000002</v>
      </c>
      <c r="K53" s="11">
        <f t="shared" si="3"/>
        <v>79.660376524659711</v>
      </c>
      <c r="L53" s="8">
        <f>(79*$P$4)</f>
        <v>8938.06</v>
      </c>
    </row>
    <row r="54" spans="4:12" ht="40" thickBot="1" x14ac:dyDescent="0.2">
      <c r="D54" s="6" t="s">
        <v>50</v>
      </c>
      <c r="E54" s="7" t="s">
        <v>80</v>
      </c>
      <c r="F54" s="8">
        <v>395513.66</v>
      </c>
      <c r="G54" s="5">
        <v>484177.5</v>
      </c>
      <c r="H54" s="9">
        <f t="shared" si="0"/>
        <v>40348.125</v>
      </c>
      <c r="I54" s="10">
        <f t="shared" si="1"/>
        <v>9595.2374999999993</v>
      </c>
      <c r="J54" s="8">
        <f t="shared" si="2"/>
        <v>39551.366000000002</v>
      </c>
      <c r="K54" s="11">
        <f t="shared" si="3"/>
        <v>84.808533675092804</v>
      </c>
      <c r="L54" s="8">
        <f>(84*$P$4)</f>
        <v>9503.76</v>
      </c>
    </row>
    <row r="55" spans="4:12" ht="40" thickBot="1" x14ac:dyDescent="0.2">
      <c r="D55" s="6" t="s">
        <v>51</v>
      </c>
      <c r="E55" s="7" t="s">
        <v>75</v>
      </c>
      <c r="F55" s="8">
        <v>692837.49</v>
      </c>
      <c r="G55" s="5">
        <v>1855204</v>
      </c>
      <c r="H55" s="9">
        <f t="shared" si="0"/>
        <v>154600.33333333334</v>
      </c>
      <c r="I55" s="10">
        <f t="shared" si="1"/>
        <v>43870.9</v>
      </c>
      <c r="J55" s="8">
        <f t="shared" si="2"/>
        <v>69283.748999999996</v>
      </c>
      <c r="K55" s="11">
        <f t="shared" si="3"/>
        <v>387.75764539508572</v>
      </c>
      <c r="L55" s="8">
        <f>(387*$P$4)</f>
        <v>43785.18</v>
      </c>
    </row>
    <row r="56" spans="4:12" ht="40" thickBot="1" x14ac:dyDescent="0.2">
      <c r="D56" s="6" t="s">
        <v>52</v>
      </c>
      <c r="E56" s="7" t="s">
        <v>72</v>
      </c>
      <c r="F56" s="8">
        <v>692837.49</v>
      </c>
      <c r="G56" s="5">
        <v>457000</v>
      </c>
      <c r="H56" s="9">
        <f t="shared" si="0"/>
        <v>38083.333333333336</v>
      </c>
      <c r="I56" s="10">
        <f t="shared" si="1"/>
        <v>8915.8000000000011</v>
      </c>
      <c r="J56" s="8">
        <f t="shared" si="2"/>
        <v>69283.748999999996</v>
      </c>
      <c r="K56" s="11">
        <f t="shared" si="3"/>
        <v>78.803252607389084</v>
      </c>
      <c r="L56" s="8">
        <f>(78*$P$4)</f>
        <v>8824.92</v>
      </c>
    </row>
    <row r="57" spans="4:12" ht="40" thickBot="1" x14ac:dyDescent="0.2">
      <c r="D57" s="6" t="s">
        <v>53</v>
      </c>
      <c r="E57" s="7" t="s">
        <v>64</v>
      </c>
      <c r="F57" s="8">
        <v>692837.49</v>
      </c>
      <c r="G57" s="5">
        <v>933442</v>
      </c>
      <c r="H57" s="9">
        <f t="shared" si="0"/>
        <v>77786.833333333328</v>
      </c>
      <c r="I57" s="10">
        <f t="shared" si="1"/>
        <v>20826.849999999999</v>
      </c>
      <c r="J57" s="8">
        <f t="shared" si="2"/>
        <v>69283.748999999996</v>
      </c>
      <c r="K57" s="11">
        <f t="shared" si="3"/>
        <v>184.08034293795296</v>
      </c>
      <c r="L57" s="8">
        <f>(184*$P$4)</f>
        <v>20817.759999999998</v>
      </c>
    </row>
    <row r="58" spans="4:12" ht="40" thickBot="1" x14ac:dyDescent="0.2">
      <c r="D58" s="6" t="s">
        <v>54</v>
      </c>
      <c r="E58" s="7" t="s">
        <v>65</v>
      </c>
      <c r="F58" s="8">
        <v>692837.49</v>
      </c>
      <c r="G58" s="5">
        <v>561281.35</v>
      </c>
      <c r="H58" s="9">
        <f t="shared" si="0"/>
        <v>46773.445833333331</v>
      </c>
      <c r="I58" s="10">
        <f t="shared" si="1"/>
        <v>11522.83375</v>
      </c>
      <c r="J58" s="8">
        <f t="shared" si="2"/>
        <v>69283.748999999996</v>
      </c>
      <c r="K58" s="11">
        <f t="shared" si="3"/>
        <v>101.84579945200636</v>
      </c>
      <c r="L58" s="8">
        <f>(101*$P$4)</f>
        <v>11427.14</v>
      </c>
    </row>
    <row r="59" spans="4:12" ht="40" thickBot="1" x14ac:dyDescent="0.2">
      <c r="D59" s="6" t="s">
        <v>55</v>
      </c>
      <c r="E59" s="7" t="s">
        <v>65</v>
      </c>
      <c r="F59" s="8">
        <v>692837.49</v>
      </c>
      <c r="G59" s="5">
        <v>265440.39</v>
      </c>
      <c r="H59" s="9">
        <f t="shared" si="0"/>
        <v>22120.032500000001</v>
      </c>
      <c r="I59" s="10">
        <f t="shared" si="1"/>
        <v>4126.8097500000003</v>
      </c>
      <c r="J59" s="8">
        <f t="shared" si="2"/>
        <v>69283.748999999996</v>
      </c>
      <c r="K59" s="11">
        <f t="shared" si="3"/>
        <v>36.475249690648759</v>
      </c>
      <c r="L59" s="8">
        <f>(36*$P$4)</f>
        <v>4073.04</v>
      </c>
    </row>
    <row r="60" spans="4:12" ht="40" thickBot="1" x14ac:dyDescent="0.2">
      <c r="D60" s="6" t="s">
        <v>56</v>
      </c>
      <c r="E60" s="7" t="s">
        <v>67</v>
      </c>
      <c r="F60" s="8">
        <v>692837.49</v>
      </c>
      <c r="G60" s="5">
        <v>1042269</v>
      </c>
      <c r="H60" s="9">
        <f t="shared" si="0"/>
        <v>86855.75</v>
      </c>
      <c r="I60" s="10">
        <f t="shared" si="1"/>
        <v>23547.524999999998</v>
      </c>
      <c r="J60" s="8">
        <f t="shared" si="2"/>
        <v>69283.748999999996</v>
      </c>
      <c r="K60" s="11">
        <f t="shared" si="3"/>
        <v>208.1273201343468</v>
      </c>
      <c r="L60" s="8">
        <f>(208*$P$4)</f>
        <v>23533.119999999999</v>
      </c>
    </row>
    <row r="61" spans="4:12" ht="40" thickBot="1" x14ac:dyDescent="0.2">
      <c r="D61" s="6" t="s">
        <v>57</v>
      </c>
      <c r="E61" s="7" t="s">
        <v>65</v>
      </c>
      <c r="F61" s="8">
        <v>692837.49</v>
      </c>
      <c r="G61" s="5">
        <v>268607.88</v>
      </c>
      <c r="H61" s="9">
        <f t="shared" si="0"/>
        <v>22383.99</v>
      </c>
      <c r="I61" s="10">
        <f t="shared" si="1"/>
        <v>4205.9970000000003</v>
      </c>
      <c r="J61" s="8">
        <f t="shared" si="2"/>
        <v>69283.748999999996</v>
      </c>
      <c r="K61" s="11">
        <f t="shared" si="3"/>
        <v>37.175154675623126</v>
      </c>
      <c r="L61" s="8">
        <f>(37*$P$4)</f>
        <v>4186.18</v>
      </c>
    </row>
    <row r="62" spans="4:12" ht="40" thickBot="1" x14ac:dyDescent="0.2">
      <c r="D62" s="6" t="s">
        <v>58</v>
      </c>
      <c r="E62" s="2" t="s">
        <v>66</v>
      </c>
      <c r="F62" s="8">
        <v>395513.66</v>
      </c>
      <c r="G62" s="5">
        <v>1544954</v>
      </c>
      <c r="H62" s="9">
        <f t="shared" si="0"/>
        <v>128746.16666666667</v>
      </c>
      <c r="I62" s="10">
        <f t="shared" si="1"/>
        <v>36114.65</v>
      </c>
      <c r="J62" s="8">
        <f t="shared" si="2"/>
        <v>39551.366000000002</v>
      </c>
      <c r="K62" s="11">
        <f t="shared" si="3"/>
        <v>319.20319957574685</v>
      </c>
      <c r="L62" s="8">
        <f>(319*$P$4)</f>
        <v>36091.660000000003</v>
      </c>
    </row>
    <row r="63" spans="4:12" ht="40" thickBot="1" x14ac:dyDescent="0.2">
      <c r="D63" s="6" t="s">
        <v>59</v>
      </c>
      <c r="E63" s="7" t="s">
        <v>65</v>
      </c>
      <c r="F63" s="8">
        <v>692837.49</v>
      </c>
      <c r="G63" s="5">
        <v>803038</v>
      </c>
      <c r="H63" s="9">
        <f t="shared" si="0"/>
        <v>66919.833333333328</v>
      </c>
      <c r="I63" s="10">
        <f t="shared" si="1"/>
        <v>17566.749999999996</v>
      </c>
      <c r="J63" s="8">
        <f t="shared" si="2"/>
        <v>69283.748999999996</v>
      </c>
      <c r="K63" s="11">
        <f t="shared" si="3"/>
        <v>155.26560014141768</v>
      </c>
      <c r="L63" s="8">
        <f>(155*$P$4)</f>
        <v>17536.7</v>
      </c>
    </row>
    <row r="64" spans="4:12" ht="40" thickBot="1" x14ac:dyDescent="0.2">
      <c r="D64" s="6" t="s">
        <v>60</v>
      </c>
      <c r="E64" s="7" t="s">
        <v>72</v>
      </c>
      <c r="F64" s="8">
        <v>692837.49</v>
      </c>
      <c r="G64" s="5">
        <v>874000</v>
      </c>
      <c r="H64" s="9">
        <f t="shared" si="0"/>
        <v>72833.333333333328</v>
      </c>
      <c r="I64" s="10">
        <f t="shared" si="1"/>
        <v>19340.8</v>
      </c>
      <c r="J64" s="8">
        <f t="shared" si="2"/>
        <v>69283.748999999996</v>
      </c>
      <c r="K64" s="11">
        <f t="shared" si="3"/>
        <v>170.94573095280182</v>
      </c>
      <c r="L64" s="8">
        <f>(170*$P$4)</f>
        <v>19233.8</v>
      </c>
    </row>
  </sheetData>
  <autoFilter ref="D3:F64" xr:uid="{41C9A434-6CC8-614E-99F0-BBAAB73D09C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175d881-c252-4cc7-85ac-127631b324fb">
      <Terms xmlns="http://schemas.microsoft.com/office/infopath/2007/PartnerControls"/>
    </lcf76f155ced4ddcb4097134ff3c332f>
    <TaxCatchAll xmlns="7463e6f2-4cf7-4f37-8a7b-859c1e512b3c" xsi:nil="true"/>
    <SharedWithUsers xmlns="7463e6f2-4cf7-4f37-8a7b-859c1e512b3c">
      <UserInfo>
        <DisplayName/>
        <AccountId xsi:nil="true"/>
        <AccountType/>
      </UserInfo>
    </SharedWithUsers>
    <_Flow_SignoffStatu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9039E56B-50F9-4D92-AA91-2935BFAF2935}"/>
</file>

<file path=customXml/itemProps2.xml><?xml version="1.0" encoding="utf-8"?>
<ds:datastoreItem xmlns:ds="http://schemas.openxmlformats.org/officeDocument/2006/customXml" ds:itemID="{70517BCC-E5FB-4FE5-9F60-9CA035B6AA66}"/>
</file>

<file path=customXml/itemProps3.xml><?xml version="1.0" encoding="utf-8"?>
<ds:datastoreItem xmlns:ds="http://schemas.openxmlformats.org/officeDocument/2006/customXml" ds:itemID="{65C415CD-1BA9-47AC-8DE0-FC1F7FB478C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PEREZ PORTILLO SOCRATES</dc:creator>
  <cp:lastModifiedBy>PEREZ PORTILLO SOCRATES</cp:lastModifiedBy>
  <dcterms:created xsi:type="dcterms:W3CDTF">2025-07-26T03:27:06Z</dcterms:created>
  <dcterms:modified xsi:type="dcterms:W3CDTF">2025-07-26T16:39:56Z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77294400</vt:r8>
  </property>
  <property fmtid="{D5CDD505-2E9C-101B-9397-08002B2CF9AE}" pid="4" name="TriggerFlowInfo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  <property fmtid="{D5CDD505-2E9C-101B-9397-08002B2CF9AE}" pid="9" name="xd_Signature">
    <vt:bool>false</vt:bool>
  </property>
  <property fmtid="{D5CDD505-2E9C-101B-9397-08002B2CF9AE}" pid="10" name="xd_ProgID">
    <vt:lpwstr/>
  </property>
  <property fmtid="{D5CDD505-2E9C-101B-9397-08002B2CF9AE}" pid="11" name="TemplateUrl">
    <vt:lpwstr/>
  </property>
  <property fmtid="{D5CDD505-2E9C-101B-9397-08002B2CF9AE}" pid="12" name="MediaServiceImageTags">
    <vt:lpwstr/>
  </property>
</Properties>
</file>